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" windowHeight="2940" activeTab="0"/>
  </bookViews>
  <sheets>
    <sheet name="SAP" sheetId="1" r:id="rId1"/>
    <sheet name="corp spreads" sheetId="2" r:id="rId2"/>
    <sheet name="P&amp;L model" sheetId="3" r:id="rId3"/>
  </sheets>
  <externalReferences>
    <externalReference r:id="rId6"/>
  </externalReferences>
  <definedNames>
    <definedName name="anscount" hidden="1">1</definedName>
    <definedName name="solver_adj" localSheetId="0" hidden="1">'SAP'!$A$31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'SAP'!$A$54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'SAP'!$I$54</definedName>
    <definedName name="solver_pre" localSheetId="0" hidden="1">0.000001</definedName>
    <definedName name="solver_rel1" localSheetId="0" hidden="1">1</definedName>
    <definedName name="solver_rhs1" localSheetId="0" hidden="1">'SAP'!$B$54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<sst xmlns="http://schemas.openxmlformats.org/spreadsheetml/2006/main" count="172" uniqueCount="149">
  <si>
    <t>You have the opportunity to visit SAP AG, the business software company. SAP, based in Walldorf, Germany,</t>
  </si>
  <si>
    <t>offers software development and implementation in application areas such as accounting, logistics and</t>
  </si>
  <si>
    <t>appropriate amount of debt. You have collected the following information about SAP's current position:</t>
  </si>
  <si>
    <t>Current share price:</t>
  </si>
  <si>
    <t>Shares outstanding:</t>
  </si>
  <si>
    <t>Debt outstanding:</t>
  </si>
  <si>
    <t>Debt rating:</t>
  </si>
  <si>
    <t>Market rate on bonds with rating</t>
  </si>
  <si>
    <t xml:space="preserve">Based on the company's business, its interest coverage and other factors, you have prepared a table </t>
  </si>
  <si>
    <t>Additional debt</t>
  </si>
  <si>
    <t>New Rating</t>
  </si>
  <si>
    <t>Interest rate</t>
  </si>
  <si>
    <t>Solution:</t>
  </si>
  <si>
    <t>In order to get the company's beta at different levels of debt, we have to first calculate the unlevered beta.</t>
  </si>
  <si>
    <t>Current levered beta:</t>
  </si>
  <si>
    <t>Current debt/equity (D/E) ratio = debt/(share price*shares outstanding):</t>
  </si>
  <si>
    <t>Current debt/capital (D/C) ratio = debt/(debt +share price*shares outstanding):</t>
  </si>
  <si>
    <t>The levered beta is found from: Betalev=Betaunlev(1+(1-tax rate)(D/E)</t>
  </si>
  <si>
    <t>The current unlevered beta is Betaunlev=Betalev/(1+(1-tax rate)(D/E)) =</t>
  </si>
  <si>
    <t>Company's marginal tax rate:</t>
  </si>
  <si>
    <t>Now we can calculate, for different debt levels, the cost of equity, the cost of debt, and the WACC:</t>
  </si>
  <si>
    <t>Levered Beta</t>
  </si>
  <si>
    <t>Cost of Equity</t>
  </si>
  <si>
    <t>After-tax Cost of Debt</t>
  </si>
  <si>
    <t>2. What is the weighted average cost of capital before and after the additional debt?</t>
  </si>
  <si>
    <t>SAP AG</t>
  </si>
  <si>
    <t>AAA</t>
  </si>
  <si>
    <t>million</t>
  </si>
  <si>
    <t>A</t>
  </si>
  <si>
    <t>Optimal Cost of Capital:</t>
  </si>
  <si>
    <t>Value of Equity Remaining</t>
  </si>
  <si>
    <t>Shares (millions)</t>
  </si>
  <si>
    <t>Beta of the stock based on the German DAX index:</t>
  </si>
  <si>
    <t>DAX long-run expected return</t>
  </si>
  <si>
    <t>Leverage</t>
  </si>
  <si>
    <t>or</t>
  </si>
  <si>
    <t>human-resource management to large businesses in Europe, North America and around the world. In 2000</t>
  </si>
  <si>
    <t>EUR</t>
  </si>
  <si>
    <t>3. What will be the estimated price per share after the company takes on new debt?</t>
  </si>
  <si>
    <t>1. Should SAP take on additional debt? If so, how much?</t>
  </si>
  <si>
    <t>should SAP continue to take advantage of its strong cash flow, or should it begin to use debt financing?</t>
  </si>
  <si>
    <t xml:space="preserve">re-examining the financial structure. Management is also concerned with the financing of forthcoming acquisitions: </t>
  </si>
  <si>
    <t>the company had sales of over EUR6.2 billion.</t>
  </si>
  <si>
    <t>EUR million</t>
  </si>
  <si>
    <t>Corporate bond spreads: basis points over Treasury curve</t>
  </si>
  <si>
    <t>Rating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</si>
  <si>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</si>
  <si>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</si>
  <si>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</si>
  <si>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</si>
  <si>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</si>
  <si>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</si>
  <si>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</si>
  <si>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</si>
  <si>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</si>
  <si>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</si>
  <si>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</si>
  <si>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</si>
  <si>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</si>
  <si>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</si>
  <si>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</si>
  <si>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</si>
  <si>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Caa/CCC</t>
  </si>
  <si>
    <t>Total debt</t>
  </si>
  <si>
    <t>New firm value=old firm value + increase</t>
  </si>
  <si>
    <t xml:space="preserve"> million</t>
  </si>
  <si>
    <t>up</t>
  </si>
  <si>
    <t>Estimated new share price = new equity value/new shares outstanding =</t>
  </si>
  <si>
    <t>Annual cost savings = old firm value(Old cost of capital-New cost of capital) =</t>
  </si>
  <si>
    <t>Weighted Cost of Capital</t>
  </si>
  <si>
    <t>PV tax shield at 5% growth</t>
  </si>
  <si>
    <t>Tax shield</t>
  </si>
  <si>
    <t>over governments</t>
  </si>
  <si>
    <t>Government 10-year bond rate:</t>
  </si>
  <si>
    <t>Interest coverage ratio</t>
  </si>
  <si>
    <t>Debt / capitalization</t>
  </si>
  <si>
    <t>Interest expense</t>
  </si>
  <si>
    <t>Debt/book equity</t>
  </si>
  <si>
    <t>B+</t>
  </si>
  <si>
    <t>A-</t>
  </si>
  <si>
    <t>Change in firm value is a growing perpetuity = CF/(r-g) = cost savings/(discount rate-growth rate)</t>
  </si>
  <si>
    <t>Permanent increase in firm value = Annual cost savings/(cost of capital-growth rate) =</t>
  </si>
  <si>
    <t>A case study on the effect of changing a company's capital structure.</t>
  </si>
  <si>
    <t>2001 estimated pretax profit</t>
  </si>
  <si>
    <t>2001 est. book value of equity</t>
  </si>
  <si>
    <t>Q1</t>
  </si>
  <si>
    <t>Q2</t>
  </si>
  <si>
    <t>Q3</t>
  </si>
  <si>
    <t>Q4</t>
  </si>
  <si>
    <t>Total</t>
  </si>
  <si>
    <t xml:space="preserve">Q1 </t>
  </si>
  <si>
    <t>Delta</t>
  </si>
  <si>
    <t>Revenue by Region:</t>
  </si>
  <si>
    <t>EMEA</t>
  </si>
  <si>
    <t>Americas</t>
  </si>
  <si>
    <t>Asia Pacific</t>
  </si>
  <si>
    <t>Software revenue:</t>
  </si>
  <si>
    <t>Maintenance revenue</t>
  </si>
  <si>
    <t>Product revenue</t>
  </si>
  <si>
    <t>Consulting revenue</t>
  </si>
  <si>
    <t>Training revenue</t>
  </si>
  <si>
    <t>Service revenue</t>
  </si>
  <si>
    <t>Other revenue</t>
  </si>
  <si>
    <t>Total revenue</t>
  </si>
  <si>
    <t>Cost of product</t>
  </si>
  <si>
    <t>Cost of service</t>
  </si>
  <si>
    <t>Research and development</t>
  </si>
  <si>
    <t>Sales and marketing</t>
  </si>
  <si>
    <t>General and administration</t>
  </si>
  <si>
    <t>Other income/expenses, net</t>
  </si>
  <si>
    <t xml:space="preserve">Total operating expense </t>
  </si>
  <si>
    <t xml:space="preserve">Operating income </t>
  </si>
  <si>
    <t>Operating Margin in % of total revenues</t>
  </si>
  <si>
    <t>Other non-operating income/expenses, net</t>
  </si>
  <si>
    <t>Finance income, net</t>
  </si>
  <si>
    <t>Income before income taxes</t>
  </si>
  <si>
    <t>Income taxes</t>
  </si>
  <si>
    <t>Minority interest</t>
  </si>
  <si>
    <t>Net income</t>
  </si>
  <si>
    <t>SAP AG - Actual Figures</t>
  </si>
  <si>
    <t>in EUR millions</t>
  </si>
  <si>
    <t>2000</t>
  </si>
  <si>
    <t>2001</t>
  </si>
  <si>
    <t>P&amp;L model</t>
  </si>
  <si>
    <t>&gt;8.50</t>
  </si>
  <si>
    <t>6.50-8.50</t>
  </si>
  <si>
    <t>5.50-6.50</t>
  </si>
  <si>
    <t>4.25-5.50</t>
  </si>
  <si>
    <t>3.00-4.25</t>
  </si>
  <si>
    <t>2.50-3.00</t>
  </si>
  <si>
    <t>2.00-2.50</t>
  </si>
  <si>
    <t>1.75-2.00</t>
  </si>
  <si>
    <t>1.50-1.75</t>
  </si>
  <si>
    <t>1.25-1.50</t>
  </si>
  <si>
    <t>0.80-1.25</t>
  </si>
  <si>
    <t>Typical Interest Coverage Ratios</t>
  </si>
  <si>
    <t>as well as several key ratios:</t>
  </si>
  <si>
    <t>showing what an increase in long term debt would do to the company's ratings and its cost of borrowing</t>
  </si>
  <si>
    <t>You have been asked to evaluate whether the company has an</t>
  </si>
  <si>
    <t xml:space="preserve">In recent months the company's stock price has been depressed, and management is concerned about </t>
  </si>
  <si>
    <t>1year</t>
  </si>
  <si>
    <t>2year</t>
  </si>
  <si>
    <t>3year</t>
  </si>
  <si>
    <t>5year</t>
  </si>
  <si>
    <t>7year</t>
  </si>
  <si>
    <t>10year</t>
  </si>
  <si>
    <t>30year</t>
  </si>
  <si>
    <t>Assume</t>
  </si>
  <si>
    <t>growth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</si>
</sst>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000"/>
    <numFmt numFmtId="178" formatCode="0.00000"/>
    <numFmt numFmtId="179" formatCode="0.000"/>
    <numFmt numFmtId="180" formatCode="0.000%"/>
    <numFmt numFmtId="181" formatCode="#.##0,;"/>
    <numFmt numFmtId="182" formatCode="#.##0,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sz val="9.25"/>
      <name val="Arial"/>
      <family val="2"/>
    </font>
    <font>
      <sz val="4.25"/>
      <name val="Arial"/>
      <family val="0"/>
    </font>
    <font>
      <b/>
      <sz val="9.25"/>
      <name val="Arial"/>
      <family val="2"/>
    </font>
    <font>
      <sz val="5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i/>
      <sz val="8"/>
      <color indexed="12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21" applyAlignment="1">
      <alignment/>
    </xf>
    <xf numFmtId="172" fontId="0" fillId="0" borderId="0" xfId="21" applyNumberFormat="1" applyAlignment="1">
      <alignment/>
    </xf>
    <xf numFmtId="10" fontId="0" fillId="0" borderId="0" xfId="21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15" applyNumberFormat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176" fontId="4" fillId="0" borderId="0" xfId="15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21" applyNumberFormat="1" applyFont="1" applyAlignment="1">
      <alignment/>
    </xf>
    <xf numFmtId="10" fontId="0" fillId="0" borderId="0" xfId="21" applyNumberFormat="1" applyFont="1" applyAlignment="1">
      <alignment/>
    </xf>
    <xf numFmtId="43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 wrapText="1"/>
    </xf>
    <xf numFmtId="9" fontId="0" fillId="0" borderId="0" xfId="21" applyAlignment="1">
      <alignment wrapText="1"/>
    </xf>
    <xf numFmtId="176" fontId="0" fillId="0" borderId="0" xfId="0" applyNumberFormat="1" applyAlignment="1">
      <alignment horizontal="right" wrapText="1"/>
    </xf>
    <xf numFmtId="175" fontId="0" fillId="0" borderId="0" xfId="0" applyNumberFormat="1" applyAlignment="1">
      <alignment wrapText="1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4" fillId="0" borderId="5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3" fontId="14" fillId="2" borderId="9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181" fontId="13" fillId="2" borderId="0" xfId="0" applyNumberFormat="1" applyFont="1" applyFill="1" applyBorder="1" applyAlignment="1">
      <alignment/>
    </xf>
    <xf numFmtId="9" fontId="13" fillId="0" borderId="13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1" fontId="13" fillId="0" borderId="3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3" borderId="4" xfId="0" applyNumberFormat="1" applyFont="1" applyFill="1" applyBorder="1" applyAlignment="1">
      <alignment/>
    </xf>
    <xf numFmtId="3" fontId="13" fillId="3" borderId="11" xfId="0" applyNumberFormat="1" applyFont="1" applyFill="1" applyBorder="1" applyAlignment="1">
      <alignment/>
    </xf>
    <xf numFmtId="3" fontId="13" fillId="3" borderId="12" xfId="0" applyNumberFormat="1" applyFont="1" applyFill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3" fillId="3" borderId="0" xfId="0" applyNumberFormat="1" applyFont="1" applyFill="1" applyBorder="1" applyAlignment="1">
      <alignment/>
    </xf>
    <xf numFmtId="181" fontId="13" fillId="3" borderId="0" xfId="0" applyNumberFormat="1" applyFont="1" applyFill="1" applyBorder="1" applyAlignment="1">
      <alignment/>
    </xf>
    <xf numFmtId="9" fontId="13" fillId="3" borderId="13" xfId="0" applyNumberFormat="1" applyFont="1" applyFill="1" applyBorder="1" applyAlignment="1">
      <alignment/>
    </xf>
    <xf numFmtId="1" fontId="13" fillId="0" borderId="4" xfId="0" applyNumberFormat="1" applyFont="1" applyFill="1" applyBorder="1" applyAlignment="1">
      <alignment/>
    </xf>
    <xf numFmtId="1" fontId="14" fillId="3" borderId="3" xfId="0" applyNumberFormat="1" applyFont="1" applyFill="1" applyBorder="1" applyAlignment="1">
      <alignment/>
    </xf>
    <xf numFmtId="1" fontId="14" fillId="3" borderId="0" xfId="0" applyNumberFormat="1" applyFont="1" applyFill="1" applyBorder="1" applyAlignment="1">
      <alignment/>
    </xf>
    <xf numFmtId="1" fontId="14" fillId="3" borderId="4" xfId="0" applyNumberFormat="1" applyFont="1" applyFill="1" applyBorder="1" applyAlignment="1">
      <alignment/>
    </xf>
    <xf numFmtId="3" fontId="14" fillId="3" borderId="3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3" fontId="14" fillId="3" borderId="13" xfId="0" applyNumberFormat="1" applyFont="1" applyFill="1" applyBorder="1" applyAlignment="1">
      <alignment/>
    </xf>
    <xf numFmtId="3" fontId="14" fillId="3" borderId="4" xfId="0" applyNumberFormat="1" applyFont="1" applyFill="1" applyBorder="1" applyAlignment="1">
      <alignment/>
    </xf>
    <xf numFmtId="181" fontId="14" fillId="3" borderId="3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2" fontId="14" fillId="3" borderId="3" xfId="0" applyNumberFormat="1" applyFont="1" applyFill="1" applyBorder="1" applyAlignment="1">
      <alignment/>
    </xf>
    <xf numFmtId="182" fontId="13" fillId="2" borderId="0" xfId="0" applyNumberFormat="1" applyFont="1" applyFill="1" applyBorder="1" applyAlignment="1">
      <alignment/>
    </xf>
    <xf numFmtId="182" fontId="14" fillId="3" borderId="0" xfId="0" applyNumberFormat="1" applyFont="1" applyFill="1" applyBorder="1" applyAlignment="1">
      <alignment/>
    </xf>
    <xf numFmtId="1" fontId="14" fillId="0" borderId="3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4" fillId="0" borderId="4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2" borderId="4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1" fontId="13" fillId="4" borderId="14" xfId="0" applyNumberFormat="1" applyFont="1" applyFill="1" applyBorder="1" applyAlignment="1">
      <alignment/>
    </xf>
    <xf numFmtId="1" fontId="1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9" fontId="13" fillId="4" borderId="3" xfId="0" applyNumberFormat="1" applyFont="1" applyFill="1" applyBorder="1" applyAlignment="1">
      <alignment/>
    </xf>
    <xf numFmtId="9" fontId="13" fillId="4" borderId="12" xfId="0" applyNumberFormat="1" applyFont="1" applyFill="1" applyBorder="1" applyAlignment="1">
      <alignment/>
    </xf>
    <xf numFmtId="9" fontId="13" fillId="4" borderId="13" xfId="0" applyNumberFormat="1" applyFont="1" applyFill="1" applyBorder="1" applyAlignment="1">
      <alignment/>
    </xf>
    <xf numFmtId="9" fontId="13" fillId="4" borderId="4" xfId="0" applyNumberFormat="1" applyFont="1" applyFill="1" applyBorder="1" applyAlignment="1">
      <alignment/>
    </xf>
    <xf numFmtId="9" fontId="13" fillId="4" borderId="0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2" borderId="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4" fillId="3" borderId="15" xfId="0" applyNumberFormat="1" applyFont="1" applyFill="1" applyBorder="1" applyAlignment="1">
      <alignment/>
    </xf>
    <xf numFmtId="1" fontId="14" fillId="3" borderId="16" xfId="0" applyNumberFormat="1" applyFont="1" applyFill="1" applyBorder="1" applyAlignment="1">
      <alignment/>
    </xf>
    <xf numFmtId="1" fontId="14" fillId="3" borderId="17" xfId="0" applyNumberFormat="1" applyFont="1" applyFill="1" applyBorder="1" applyAlignment="1">
      <alignment/>
    </xf>
    <xf numFmtId="3" fontId="14" fillId="3" borderId="18" xfId="0" applyNumberFormat="1" applyFont="1" applyFill="1" applyBorder="1" applyAlignment="1">
      <alignment/>
    </xf>
    <xf numFmtId="3" fontId="14" fillId="3" borderId="19" xfId="0" applyNumberFormat="1" applyFont="1" applyFill="1" applyBorder="1" applyAlignment="1">
      <alignment/>
    </xf>
    <xf numFmtId="3" fontId="14" fillId="3" borderId="17" xfId="0" applyNumberFormat="1" applyFont="1" applyFill="1" applyBorder="1" applyAlignment="1">
      <alignment/>
    </xf>
    <xf numFmtId="3" fontId="14" fillId="3" borderId="15" xfId="0" applyNumberFormat="1" applyFont="1" applyFill="1" applyBorder="1" applyAlignment="1">
      <alignment/>
    </xf>
    <xf numFmtId="3" fontId="14" fillId="3" borderId="16" xfId="0" applyNumberFormat="1" applyFont="1" applyFill="1" applyBorder="1" applyAlignment="1">
      <alignment/>
    </xf>
    <xf numFmtId="9" fontId="13" fillId="3" borderId="2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21" xfId="0" applyFont="1" applyBorder="1" applyAlignment="1">
      <alignment/>
    </xf>
    <xf numFmtId="3" fontId="14" fillId="0" borderId="22" xfId="0" applyNumberFormat="1" applyFont="1" applyFill="1" applyBorder="1" applyAlignment="1" quotePrefix="1">
      <alignment horizontal="center"/>
    </xf>
    <xf numFmtId="3" fontId="16" fillId="0" borderId="23" xfId="0" applyNumberFormat="1" applyFont="1" applyFill="1" applyBorder="1" applyAlignment="1">
      <alignment horizontal="left"/>
    </xf>
    <xf numFmtId="0" fontId="14" fillId="5" borderId="2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3" fontId="14" fillId="5" borderId="27" xfId="0" applyNumberFormat="1" applyFont="1" applyFill="1" applyBorder="1" applyAlignment="1" quotePrefix="1">
      <alignment horizontal="center"/>
    </xf>
    <xf numFmtId="3" fontId="14" fillId="5" borderId="24" xfId="0" applyNumberFormat="1" applyFont="1" applyFill="1" applyBorder="1" applyAlignment="1" quotePrefix="1">
      <alignment horizontal="left"/>
    </xf>
    <xf numFmtId="3" fontId="14" fillId="5" borderId="25" xfId="0" applyNumberFormat="1" applyFont="1" applyFill="1" applyBorder="1" applyAlignment="1" quotePrefix="1">
      <alignment horizontal="left"/>
    </xf>
    <xf numFmtId="3" fontId="14" fillId="5" borderId="26" xfId="0" applyNumberFormat="1" applyFont="1" applyFill="1" applyBorder="1" applyAlignment="1" quotePrefix="1">
      <alignment horizontal="left"/>
    </xf>
    <xf numFmtId="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05"/>
          <c:w val="0.8677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SAP!$I$52</c:f>
              <c:strCache>
                <c:ptCount val="1"/>
                <c:pt idx="0">
                  <c:v>Weighted Cost of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SAP!$J$53:$J$57</c:f>
              <c:numCache/>
            </c:numRef>
          </c:cat>
          <c:val>
            <c:numRef>
              <c:f>SAP!$I$53:$I$57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Leverage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Cost of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54638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50</xdr:row>
      <xdr:rowOff>85725</xdr:rowOff>
    </xdr:from>
    <xdr:to>
      <xdr:col>11</xdr:col>
      <xdr:colOff>400050</xdr:colOff>
      <xdr:row>58</xdr:row>
      <xdr:rowOff>38100</xdr:rowOff>
    </xdr:to>
    <xdr:graphicFrame>
      <xdr:nvGraphicFramePr>
        <xdr:cNvPr id="1" name="Chart 2"/>
        <xdr:cNvGraphicFramePr/>
      </xdr:nvGraphicFramePr>
      <xdr:xfrm>
        <a:off x="5438775" y="8696325"/>
        <a:ext cx="15906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pspre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spreads"/>
    </sheetNames>
    <sheetDataSet>
      <sheetData sheetId="0">
        <row r="3">
          <cell r="G3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9.421875" style="0" customWidth="1"/>
    <col min="4" max="4" width="8.00390625" style="0" customWidth="1"/>
    <col min="5" max="5" width="9.28125" style="0" bestFit="1" customWidth="1"/>
    <col min="6" max="6" width="8.00390625" style="0" customWidth="1"/>
    <col min="14" max="14" width="10.28125" style="0" customWidth="1"/>
  </cols>
  <sheetData>
    <row r="1" ht="18">
      <c r="A1" s="15" t="s">
        <v>25</v>
      </c>
    </row>
    <row r="2" ht="12.75">
      <c r="A2" s="14" t="s">
        <v>82</v>
      </c>
    </row>
    <row r="4" ht="12.75">
      <c r="A4" t="s">
        <v>0</v>
      </c>
    </row>
    <row r="5" ht="12.75">
      <c r="A5" t="s">
        <v>1</v>
      </c>
    </row>
    <row r="6" ht="12.75">
      <c r="A6" t="s">
        <v>36</v>
      </c>
    </row>
    <row r="7" ht="12.75">
      <c r="A7" t="s">
        <v>42</v>
      </c>
    </row>
    <row r="9" ht="12.75">
      <c r="A9" t="s">
        <v>139</v>
      </c>
    </row>
    <row r="10" ht="12.75">
      <c r="A10" t="s">
        <v>41</v>
      </c>
    </row>
    <row r="11" ht="12.75">
      <c r="A11" t="s">
        <v>40</v>
      </c>
    </row>
    <row r="13" ht="12.75">
      <c r="A13" t="s">
        <v>138</v>
      </c>
    </row>
    <row r="14" ht="12.75">
      <c r="A14" t="s">
        <v>2</v>
      </c>
    </row>
    <row r="15" spans="1:4" ht="12.75">
      <c r="A15" t="s">
        <v>3</v>
      </c>
      <c r="C15" s="16">
        <v>117</v>
      </c>
      <c r="D15" t="s">
        <v>37</v>
      </c>
    </row>
    <row r="16" spans="1:4" ht="12.75">
      <c r="A16" t="s">
        <v>4</v>
      </c>
      <c r="C16" s="20">
        <v>316</v>
      </c>
      <c r="D16" s="9" t="s">
        <v>27</v>
      </c>
    </row>
    <row r="17" spans="1:5" ht="12.75">
      <c r="A17" t="s">
        <v>32</v>
      </c>
      <c r="E17" s="16">
        <v>1.3</v>
      </c>
    </row>
    <row r="18" spans="1:4" ht="12.75">
      <c r="A18" t="s">
        <v>5</v>
      </c>
      <c r="C18" s="20">
        <v>200</v>
      </c>
      <c r="D18" s="24" t="s">
        <v>43</v>
      </c>
    </row>
    <row r="19" spans="1:3" ht="12.75">
      <c r="A19" t="s">
        <v>6</v>
      </c>
      <c r="C19" s="16" t="s">
        <v>26</v>
      </c>
    </row>
    <row r="20" spans="1:5" ht="12.75">
      <c r="A20" t="s">
        <v>7</v>
      </c>
      <c r="D20" t="str">
        <f>C19</f>
        <v>AAA</v>
      </c>
      <c r="E20" s="19">
        <f>D21+'[1]corpspreads'!$G$3/10000</f>
        <v>0.0565</v>
      </c>
    </row>
    <row r="21" spans="1:4" ht="12.75">
      <c r="A21" t="s">
        <v>73</v>
      </c>
      <c r="D21" s="19">
        <v>0.048</v>
      </c>
    </row>
    <row r="22" spans="1:7" ht="12.75">
      <c r="A22" t="s">
        <v>33</v>
      </c>
      <c r="D22" s="19">
        <f>D21+F22</f>
        <v>0.098</v>
      </c>
      <c r="E22" t="s">
        <v>35</v>
      </c>
      <c r="F22" s="19">
        <v>0.05</v>
      </c>
      <c r="G22" t="s">
        <v>72</v>
      </c>
    </row>
    <row r="23" spans="1:4" ht="12.75">
      <c r="A23" t="s">
        <v>19</v>
      </c>
      <c r="D23" s="17">
        <v>0.38</v>
      </c>
    </row>
    <row r="24" spans="1:4" ht="12.75">
      <c r="A24" t="s">
        <v>83</v>
      </c>
      <c r="D24" s="16">
        <v>1568</v>
      </c>
    </row>
    <row r="25" spans="1:4" ht="12.75">
      <c r="A25" t="s">
        <v>84</v>
      </c>
      <c r="D25" s="16">
        <v>3734</v>
      </c>
    </row>
    <row r="26" ht="12.75">
      <c r="A26" t="s">
        <v>8</v>
      </c>
    </row>
    <row r="27" ht="12.75">
      <c r="A27" t="s">
        <v>137</v>
      </c>
    </row>
    <row r="28" ht="12.75">
      <c r="A28" t="s">
        <v>136</v>
      </c>
    </row>
    <row r="29" spans="1:11" s="11" customFormat="1" ht="38.25">
      <c r="A29" s="12" t="s">
        <v>9</v>
      </c>
      <c r="B29" s="12" t="s">
        <v>10</v>
      </c>
      <c r="C29" s="12" t="s">
        <v>11</v>
      </c>
      <c r="D29" s="12" t="s">
        <v>76</v>
      </c>
      <c r="E29" s="12" t="s">
        <v>74</v>
      </c>
      <c r="F29" s="12" t="s">
        <v>75</v>
      </c>
      <c r="G29" s="12" t="s">
        <v>77</v>
      </c>
      <c r="J29" s="12"/>
      <c r="K29" s="12"/>
    </row>
    <row r="30" spans="1:7" s="11" customFormat="1" ht="12.75">
      <c r="A30" s="12">
        <v>0</v>
      </c>
      <c r="B30" s="12" t="str">
        <f>D20</f>
        <v>AAA</v>
      </c>
      <c r="C30" s="31">
        <f>E20</f>
        <v>0.0565</v>
      </c>
      <c r="D30" s="33">
        <f>C30*($C$18+A30)</f>
        <v>11.3</v>
      </c>
      <c r="E30" s="9">
        <f>$D$24/(C30*$C$18+A30)</f>
        <v>138.76106194690266</v>
      </c>
      <c r="F30" s="32">
        <f>($C$18+A30)/($C$18+$C$15*$C$16)</f>
        <v>0.0053803938448294415</v>
      </c>
      <c r="G30" s="34">
        <f>($C$18+A30)/$D$25</f>
        <v>0.05356186395286556</v>
      </c>
    </row>
    <row r="31" spans="1:7" ht="12.75">
      <c r="A31" s="16">
        <v>2500</v>
      </c>
      <c r="B31" s="18" t="s">
        <v>26</v>
      </c>
      <c r="C31" s="19">
        <f>D21+'corp spreads'!G3/10000</f>
        <v>0.0565</v>
      </c>
      <c r="D31" s="33">
        <f>C31*($C$18+A31)</f>
        <v>152.55</v>
      </c>
      <c r="E31" s="9">
        <f>$D$24/(C31*($C$18+A31))</f>
        <v>10.278597181252048</v>
      </c>
      <c r="F31" s="32">
        <f>($C$18+A31)/($C$18+$C$15*$C$16)</f>
        <v>0.07263531690519746</v>
      </c>
      <c r="G31" s="34">
        <f>($C$18+A31)/$D$25</f>
        <v>0.723085163363685</v>
      </c>
    </row>
    <row r="32" spans="1:7" ht="12.75">
      <c r="A32" s="16">
        <v>5000</v>
      </c>
      <c r="B32" s="18" t="s">
        <v>28</v>
      </c>
      <c r="C32" s="19">
        <f>D21+'corp spreads'!G8/10000</f>
        <v>0.0637</v>
      </c>
      <c r="D32" s="33">
        <f>C32*($C$18+A32)</f>
        <v>331.24</v>
      </c>
      <c r="E32" s="9">
        <f>$D$24/(C32*($C$18+A32))</f>
        <v>4.733727810650888</v>
      </c>
      <c r="F32" s="32">
        <f>($C$18+A32)/($C$18+$C$15*$C$16)</f>
        <v>0.1398902399655655</v>
      </c>
      <c r="G32" s="34">
        <f>($C$18+A32)/$D$25</f>
        <v>1.3926084627745046</v>
      </c>
    </row>
    <row r="33" spans="1:7" ht="12.75">
      <c r="A33" s="16">
        <v>7500</v>
      </c>
      <c r="B33" s="18" t="s">
        <v>79</v>
      </c>
      <c r="C33" s="19">
        <f>D21+'corp spreads'!G9/10000</f>
        <v>0.0656</v>
      </c>
      <c r="D33" s="33">
        <f>C33*($C$18+A33)</f>
        <v>505.12000000000006</v>
      </c>
      <c r="E33" s="9">
        <f>$D$24/(C33*($C$18+A33))</f>
        <v>3.104212860310421</v>
      </c>
      <c r="F33" s="32">
        <f>($C$18+A33)/($C$18+$C$15*$C$16)</f>
        <v>0.2071451630259335</v>
      </c>
      <c r="G33" s="34">
        <f>($C$18+A33)/$D$25</f>
        <v>2.062131762185324</v>
      </c>
    </row>
    <row r="34" spans="1:7" ht="12.75">
      <c r="A34" s="16">
        <v>10000</v>
      </c>
      <c r="B34" s="18" t="s">
        <v>78</v>
      </c>
      <c r="C34" s="19">
        <f>D21+'corp spreads'!G16/10000</f>
        <v>0.109</v>
      </c>
      <c r="D34" s="33">
        <f>C34*($C$18+A34)</f>
        <v>1111.8</v>
      </c>
      <c r="E34" s="9">
        <f>$D$24/(C34*($C$18+A34))</f>
        <v>1.41032559812916</v>
      </c>
      <c r="F34" s="32">
        <f>($C$18+A34)/($C$18+$C$15*$C$16)</f>
        <v>0.2744000860863015</v>
      </c>
      <c r="G34" s="34">
        <f>($C$18+A34)/$D$25</f>
        <v>2.7316550615961437</v>
      </c>
    </row>
    <row r="36" ht="12.75">
      <c r="A36" t="s">
        <v>39</v>
      </c>
    </row>
    <row r="37" ht="12.75">
      <c r="A37" t="s">
        <v>24</v>
      </c>
    </row>
    <row r="38" ht="12.75">
      <c r="A38" t="s">
        <v>38</v>
      </c>
    </row>
    <row r="40" s="10" customFormat="1" ht="12.75"/>
    <row r="41" ht="20.25">
      <c r="A41" s="25" t="s">
        <v>25</v>
      </c>
    </row>
    <row r="42" ht="15">
      <c r="A42" s="26" t="s">
        <v>12</v>
      </c>
    </row>
    <row r="43" ht="12.75">
      <c r="A43" t="s">
        <v>13</v>
      </c>
    </row>
    <row r="44" spans="1:3" ht="12.75">
      <c r="A44" t="s">
        <v>14</v>
      </c>
      <c r="C44">
        <f>E17</f>
        <v>1.3</v>
      </c>
    </row>
    <row r="45" spans="1:9" ht="12.75">
      <c r="A45" t="s">
        <v>15</v>
      </c>
      <c r="H45" s="4">
        <f>C18/(C15*C16)</f>
        <v>0.005409499080385156</v>
      </c>
      <c r="I45" s="8"/>
    </row>
    <row r="46" spans="1:8" ht="12.75">
      <c r="A46" t="s">
        <v>16</v>
      </c>
      <c r="H46" s="4">
        <f>C18/(C18+C15*C16)</f>
        <v>0.0053803938448294415</v>
      </c>
    </row>
    <row r="47" spans="1:8" ht="12.75">
      <c r="A47" t="s">
        <v>17</v>
      </c>
      <c r="H47" s="5"/>
    </row>
    <row r="48" spans="1:8" ht="12.75">
      <c r="A48" t="s">
        <v>18</v>
      </c>
      <c r="H48" s="5">
        <f>C44/(1+(1-D23)*H45)</f>
        <v>1.2956545180073322</v>
      </c>
    </row>
    <row r="50" ht="12.75">
      <c r="A50" t="s">
        <v>20</v>
      </c>
    </row>
    <row r="52" spans="1:14" s="11" customFormat="1" ht="39.75" customHeight="1">
      <c r="A52" s="12" t="s">
        <v>63</v>
      </c>
      <c r="B52" s="12" t="s">
        <v>30</v>
      </c>
      <c r="C52" s="12" t="s">
        <v>31</v>
      </c>
      <c r="D52" s="12" t="s">
        <v>10</v>
      </c>
      <c r="E52" s="12" t="s">
        <v>11</v>
      </c>
      <c r="F52" s="12" t="s">
        <v>21</v>
      </c>
      <c r="G52" s="12" t="s">
        <v>22</v>
      </c>
      <c r="H52" s="12" t="s">
        <v>23</v>
      </c>
      <c r="I52" s="12" t="s">
        <v>69</v>
      </c>
      <c r="J52" s="11" t="s">
        <v>34</v>
      </c>
      <c r="M52" s="12" t="s">
        <v>71</v>
      </c>
      <c r="N52" s="12" t="s">
        <v>70</v>
      </c>
    </row>
    <row r="53" spans="1:15" ht="12.75">
      <c r="A53" s="8">
        <f>C18</f>
        <v>200</v>
      </c>
      <c r="B53" s="8">
        <f>$C$15*$C$16-A53</f>
        <v>36772</v>
      </c>
      <c r="C53" s="9">
        <f>$C$16-A53/$C$15</f>
        <v>314.29059829059827</v>
      </c>
      <c r="D53" s="13" t="str">
        <f>C19</f>
        <v>AAA</v>
      </c>
      <c r="E53" s="1">
        <f>E20</f>
        <v>0.0565</v>
      </c>
      <c r="F53" s="5">
        <f>$H$48*(1+(1-$D$23)*($C$18+A53)/(B53))</f>
        <v>1.3043927514584859</v>
      </c>
      <c r="G53" s="4">
        <f>$D$21+F53*($D$22-$D$21)</f>
        <v>0.1132196375729243</v>
      </c>
      <c r="H53" s="4">
        <f>E53*(1-$D$23)</f>
        <v>0.03503</v>
      </c>
      <c r="I53" s="22">
        <f>G53*B53/(B53+$C$18+A53)+H53*($C$18+A53)/($C$15*$C$16+$C$18+A53)</f>
        <v>0.11237623819570033</v>
      </c>
      <c r="J53" s="2">
        <f>($C$18+A53)/($C$18+A53+B53)</f>
        <v>0.010760787689658883</v>
      </c>
      <c r="M53" s="8">
        <f>A53*E53*$D$23</f>
        <v>4.2940000000000005</v>
      </c>
      <c r="N53" s="6">
        <f>M53*(1+5%)/(I53-5%)</f>
        <v>72.28233267056478</v>
      </c>
      <c r="O53" t="s">
        <v>65</v>
      </c>
    </row>
    <row r="54" spans="1:15" ht="12.75">
      <c r="A54" s="8">
        <f>C18+A31</f>
        <v>2700</v>
      </c>
      <c r="B54" s="8">
        <f>$C$15*$C$16-A54</f>
        <v>34272</v>
      </c>
      <c r="C54" s="9">
        <f>$C$16-A54/$C$15</f>
        <v>292.9230769230769</v>
      </c>
      <c r="D54" s="13" t="str">
        <f aca="true" t="shared" si="0" ref="D54:E57">B31</f>
        <v>AAA</v>
      </c>
      <c r="E54" s="1">
        <f t="shared" si="0"/>
        <v>0.0565</v>
      </c>
      <c r="F54" s="5">
        <f>$H$48*(1+(1-$D$23)*($C$18+A54)/(B54))</f>
        <v>1.3636279897445283</v>
      </c>
      <c r="G54" s="4">
        <f>$D$21+F54*($D$22-$D$21)</f>
        <v>0.11618139948722642</v>
      </c>
      <c r="H54" s="4">
        <f>E54*(1-$D$23)</f>
        <v>0.03503</v>
      </c>
      <c r="I54" s="23">
        <f>G54*B54/(B54+$C$18+A54)+H54*($C$18+A54)/(B54+$C$18+A54)</f>
        <v>0.10985031537787109</v>
      </c>
      <c r="J54" s="2">
        <f>($C$18+A54)/($C$18+A54+B54)</f>
        <v>0.0780157107500269</v>
      </c>
      <c r="M54" s="8">
        <f>A54*E54*$D$23</f>
        <v>57.96900000000001</v>
      </c>
      <c r="N54" s="6">
        <f>M54*(1+5%)/(I54-5%)</f>
        <v>1016.9946409756932</v>
      </c>
      <c r="O54" t="s">
        <v>65</v>
      </c>
    </row>
    <row r="55" spans="1:15" ht="12.75">
      <c r="A55" s="8">
        <f>C18+A32</f>
        <v>5200</v>
      </c>
      <c r="B55" s="8">
        <f>$C$15*$C$16-A55</f>
        <v>31772</v>
      </c>
      <c r="C55" s="9">
        <f>$C$16-A55/$C$15</f>
        <v>271.55555555555554</v>
      </c>
      <c r="D55" s="13" t="str">
        <f t="shared" si="0"/>
        <v>A</v>
      </c>
      <c r="E55" s="1">
        <f t="shared" si="0"/>
        <v>0.0637</v>
      </c>
      <c r="F55" s="5">
        <f>$H$48*(1+(1-$D$23)*($C$18+A55)/(B55))</f>
        <v>1.4321851527262215</v>
      </c>
      <c r="G55" s="4">
        <f>$D$21+F55*($D$22-$D$21)</f>
        <v>0.11960925763631108</v>
      </c>
      <c r="H55" s="4">
        <f>E55*(1-$D$23)</f>
        <v>0.039494</v>
      </c>
      <c r="I55" s="23">
        <f>G55*B55/(B55+$C$18+A55)+H55*($C$18+A55)/(B55+$C$18+A55)</f>
        <v>0.1079708633816011</v>
      </c>
      <c r="J55" s="2">
        <f>($C$18+A55)/($C$18+A55+B55)</f>
        <v>0.14527063381039493</v>
      </c>
      <c r="M55" s="8">
        <f>A55*E55*$D$23</f>
        <v>125.8712</v>
      </c>
      <c r="N55" s="6">
        <f>M55*(1+5%)/(I55-5%)</f>
        <v>2279.848052805553</v>
      </c>
      <c r="O55" t="s">
        <v>65</v>
      </c>
    </row>
    <row r="56" spans="1:15" ht="12.75">
      <c r="A56" s="8">
        <f>C18+A33</f>
        <v>7700</v>
      </c>
      <c r="B56" s="8">
        <f>$C$15*$C$16-A56</f>
        <v>29272</v>
      </c>
      <c r="C56" s="9">
        <f>$C$16-A56/$C$15</f>
        <v>250.18803418803418</v>
      </c>
      <c r="D56" s="13" t="str">
        <f t="shared" si="0"/>
        <v>A-</v>
      </c>
      <c r="E56" s="1">
        <f t="shared" si="0"/>
        <v>0.0656</v>
      </c>
      <c r="F56" s="5">
        <f>$H$48*(1+(1-$D$23)*($C$18+A56)/(B56))</f>
        <v>1.512452681071008</v>
      </c>
      <c r="G56" s="4">
        <f>$D$21+F56*($D$22-$D$21)</f>
        <v>0.12362263405355041</v>
      </c>
      <c r="H56" s="4">
        <f>E56*(1-$D$23)</f>
        <v>0.040672</v>
      </c>
      <c r="I56" s="23">
        <f>G56*B56/(B56+$C$18+A56)+H56*($C$18+A56)/(B56+$C$18+A56)</f>
        <v>0.10599350435853674</v>
      </c>
      <c r="J56" s="2">
        <f>($C$18+A56)/($C$18+A56+B56)</f>
        <v>0.21252555687076294</v>
      </c>
      <c r="M56" s="8">
        <f>A56*E56*$D$23</f>
        <v>191.9456</v>
      </c>
      <c r="N56" s="6">
        <f>M56*(1+5%)/(I56-5%)</f>
        <v>3599.397507065887</v>
      </c>
      <c r="O56" t="s">
        <v>65</v>
      </c>
    </row>
    <row r="57" spans="1:15" ht="12.75">
      <c r="A57" s="8">
        <f>C18+A34</f>
        <v>10200</v>
      </c>
      <c r="B57" s="8">
        <f>$C$15*$C$16-A57</f>
        <v>26772</v>
      </c>
      <c r="C57" s="9">
        <f>$C$16-A57/$C$15</f>
        <v>228.82051282051282</v>
      </c>
      <c r="D57" s="13" t="str">
        <f t="shared" si="0"/>
        <v>B+</v>
      </c>
      <c r="E57" s="1">
        <f t="shared" si="0"/>
        <v>0.109</v>
      </c>
      <c r="F57" s="5">
        <f>$H$48*(1+(1-$D$23)*($C$18+A57)/(B57))</f>
        <v>1.607711156738517</v>
      </c>
      <c r="G57" s="4">
        <f>$D$21+F57*($D$22-$D$21)</f>
        <v>0.12838555783692585</v>
      </c>
      <c r="H57" s="4">
        <f>E57*(1-$D$23)</f>
        <v>0.06758</v>
      </c>
      <c r="I57" s="23">
        <f>G57*B57/(B57+$C$18+A57)+H57*($C$18+A57)/(B57+$C$18+A57)</f>
        <v>0.11137334968283058</v>
      </c>
      <c r="J57" s="2">
        <f>($C$18+A57)/($C$18+A57+B57)</f>
        <v>0.279780479931131</v>
      </c>
      <c r="M57" s="8">
        <f>A57*E57*$D$23</f>
        <v>422.484</v>
      </c>
      <c r="N57" s="6">
        <f>M57*(1+5%)/(I57-5%)</f>
        <v>7228.0265341961785</v>
      </c>
      <c r="O57" t="s">
        <v>65</v>
      </c>
    </row>
    <row r="59" spans="1:4" ht="12.75">
      <c r="A59" t="s">
        <v>29</v>
      </c>
      <c r="D59" s="21">
        <f>MIN(I53:I57)</f>
        <v>0.10599350435853674</v>
      </c>
    </row>
    <row r="60" spans="1:12" ht="12.75">
      <c r="A60" t="s">
        <v>80</v>
      </c>
      <c r="J60" t="s">
        <v>147</v>
      </c>
      <c r="K60" s="128">
        <v>0.05</v>
      </c>
      <c r="L60" t="s">
        <v>148</v>
      </c>
    </row>
    <row r="61" spans="1:10" ht="12.75">
      <c r="A61" t="s">
        <v>68</v>
      </c>
      <c r="I61" s="7">
        <f>(C15*C16+C18)*(I53-D59)</f>
        <v>237.25898219504498</v>
      </c>
      <c r="J61" t="s">
        <v>65</v>
      </c>
    </row>
    <row r="62" spans="1:10" ht="12.75">
      <c r="A62" t="s">
        <v>81</v>
      </c>
      <c r="I62" s="7">
        <f>I61/(D59-K60)</f>
        <v>4237.259034116385</v>
      </c>
      <c r="J62" t="s">
        <v>65</v>
      </c>
    </row>
    <row r="63" spans="1:10" ht="12.75">
      <c r="A63" t="s">
        <v>64</v>
      </c>
      <c r="I63" s="7">
        <f>(C15*C16+C18)+I62</f>
        <v>41409.25903411639</v>
      </c>
      <c r="J63" t="s">
        <v>65</v>
      </c>
    </row>
    <row r="64" spans="1:13" ht="12.75">
      <c r="A64" t="s">
        <v>67</v>
      </c>
      <c r="I64" s="8">
        <f>(I63-A56)/C56</f>
        <v>134.73569646732773</v>
      </c>
      <c r="J64" s="30" t="s">
        <v>66</v>
      </c>
      <c r="K64" s="8">
        <f>I64-C15</f>
        <v>17.735696467327728</v>
      </c>
      <c r="L64" s="30" t="s">
        <v>35</v>
      </c>
      <c r="M64" s="3">
        <f>I64/C15-1</f>
        <v>0.15158714929339934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27" t="s">
        <v>44</v>
      </c>
      <c r="B1" s="10"/>
      <c r="C1" s="10"/>
      <c r="D1" s="10"/>
      <c r="E1" s="10"/>
      <c r="F1" s="10"/>
      <c r="G1" s="10"/>
      <c r="H1" s="10"/>
      <c r="J1" t="s">
        <v>135</v>
      </c>
    </row>
    <row r="2" spans="1:8" ht="12.75">
      <c r="A2" s="28" t="s">
        <v>45</v>
      </c>
      <c r="B2" s="29" t="s">
        <v>140</v>
      </c>
      <c r="C2" s="29" t="s">
        <v>141</v>
      </c>
      <c r="D2" s="29" t="s">
        <v>142</v>
      </c>
      <c r="E2" s="29" t="s">
        <v>143</v>
      </c>
      <c r="F2" s="29" t="s">
        <v>144</v>
      </c>
      <c r="G2" s="29" t="s">
        <v>145</v>
      </c>
      <c r="H2" s="29" t="s">
        <v>146</v>
      </c>
    </row>
    <row r="3" spans="1:10" ht="12.75">
      <c r="A3" t="s">
        <v>46</v>
      </c>
      <c r="B3">
        <v>40</v>
      </c>
      <c r="C3">
        <v>45</v>
      </c>
      <c r="D3">
        <v>50</v>
      </c>
      <c r="E3">
        <v>60</v>
      </c>
      <c r="F3">
        <v>74</v>
      </c>
      <c r="G3">
        <v>85</v>
      </c>
      <c r="H3">
        <v>96</v>
      </c>
      <c r="J3" t="s">
        <v>124</v>
      </c>
    </row>
    <row r="4" spans="1:10" ht="12.75">
      <c r="A4" t="s">
        <v>47</v>
      </c>
      <c r="B4">
        <v>45</v>
      </c>
      <c r="C4">
        <v>55</v>
      </c>
      <c r="D4">
        <v>60</v>
      </c>
      <c r="E4">
        <v>70</v>
      </c>
      <c r="F4">
        <v>84</v>
      </c>
      <c r="G4">
        <v>95</v>
      </c>
      <c r="H4">
        <v>106</v>
      </c>
      <c r="J4" t="s">
        <v>125</v>
      </c>
    </row>
    <row r="5" spans="1:10" ht="12.75">
      <c r="A5" t="s">
        <v>48</v>
      </c>
      <c r="B5">
        <v>55</v>
      </c>
      <c r="C5">
        <v>60</v>
      </c>
      <c r="D5">
        <v>65</v>
      </c>
      <c r="E5">
        <v>75</v>
      </c>
      <c r="F5">
        <v>89</v>
      </c>
      <c r="G5">
        <v>105</v>
      </c>
      <c r="H5">
        <v>116</v>
      </c>
      <c r="J5" t="s">
        <v>125</v>
      </c>
    </row>
    <row r="6" spans="1:10" ht="12.75">
      <c r="A6" t="s">
        <v>49</v>
      </c>
      <c r="B6">
        <v>60</v>
      </c>
      <c r="C6">
        <v>65</v>
      </c>
      <c r="D6">
        <v>70</v>
      </c>
      <c r="E6">
        <v>85</v>
      </c>
      <c r="F6">
        <v>99</v>
      </c>
      <c r="G6">
        <v>117</v>
      </c>
      <c r="H6">
        <v>136</v>
      </c>
      <c r="J6" t="s">
        <v>125</v>
      </c>
    </row>
    <row r="7" spans="1:10" ht="12.75">
      <c r="A7" t="s">
        <v>50</v>
      </c>
      <c r="B7">
        <v>70</v>
      </c>
      <c r="C7">
        <v>80</v>
      </c>
      <c r="D7">
        <v>90</v>
      </c>
      <c r="E7">
        <v>105</v>
      </c>
      <c r="F7">
        <v>119</v>
      </c>
      <c r="G7">
        <v>142</v>
      </c>
      <c r="H7">
        <v>159</v>
      </c>
      <c r="J7" t="s">
        <v>126</v>
      </c>
    </row>
    <row r="8" spans="1:10" ht="12.75">
      <c r="A8" t="s">
        <v>51</v>
      </c>
      <c r="B8">
        <v>80</v>
      </c>
      <c r="C8">
        <v>90</v>
      </c>
      <c r="D8">
        <v>105</v>
      </c>
      <c r="E8">
        <v>120</v>
      </c>
      <c r="F8">
        <v>140</v>
      </c>
      <c r="G8">
        <v>157</v>
      </c>
      <c r="H8">
        <v>179</v>
      </c>
      <c r="J8" t="s">
        <v>127</v>
      </c>
    </row>
    <row r="9" spans="1:10" ht="12.75">
      <c r="A9" t="s">
        <v>52</v>
      </c>
      <c r="B9">
        <v>90</v>
      </c>
      <c r="C9">
        <v>100</v>
      </c>
      <c r="D9">
        <v>110</v>
      </c>
      <c r="E9">
        <v>130</v>
      </c>
      <c r="F9">
        <v>150</v>
      </c>
      <c r="G9">
        <v>176</v>
      </c>
      <c r="H9">
        <v>196</v>
      </c>
      <c r="J9" t="s">
        <v>128</v>
      </c>
    </row>
    <row r="10" spans="1:10" ht="12.75">
      <c r="A10" t="s">
        <v>53</v>
      </c>
      <c r="B10">
        <v>105</v>
      </c>
      <c r="C10">
        <v>115</v>
      </c>
      <c r="D10">
        <v>128</v>
      </c>
      <c r="E10">
        <v>145</v>
      </c>
      <c r="F10">
        <v>165</v>
      </c>
      <c r="G10">
        <v>186</v>
      </c>
      <c r="H10">
        <v>208</v>
      </c>
      <c r="J10" t="s">
        <v>129</v>
      </c>
    </row>
    <row r="11" spans="1:10" ht="12.75">
      <c r="A11" t="s">
        <v>54</v>
      </c>
      <c r="B11">
        <v>120</v>
      </c>
      <c r="C11">
        <v>130</v>
      </c>
      <c r="D11">
        <v>140</v>
      </c>
      <c r="E11">
        <v>160</v>
      </c>
      <c r="F11">
        <v>180</v>
      </c>
      <c r="G11">
        <v>201</v>
      </c>
      <c r="H11">
        <v>221</v>
      </c>
      <c r="J11" t="s">
        <v>129</v>
      </c>
    </row>
    <row r="12" spans="1:10" ht="12.75">
      <c r="A12" t="s">
        <v>55</v>
      </c>
      <c r="B12">
        <v>140</v>
      </c>
      <c r="C12">
        <v>145</v>
      </c>
      <c r="D12">
        <v>155</v>
      </c>
      <c r="E12">
        <v>172</v>
      </c>
      <c r="F12">
        <v>193</v>
      </c>
      <c r="G12">
        <v>210</v>
      </c>
      <c r="H12">
        <v>232</v>
      </c>
      <c r="J12" t="s">
        <v>129</v>
      </c>
    </row>
    <row r="13" spans="1:10" ht="12.75">
      <c r="A13" t="s">
        <v>56</v>
      </c>
      <c r="B13">
        <v>225</v>
      </c>
      <c r="C13">
        <v>250</v>
      </c>
      <c r="D13">
        <v>275</v>
      </c>
      <c r="E13">
        <v>300</v>
      </c>
      <c r="F13">
        <v>325</v>
      </c>
      <c r="G13">
        <v>350</v>
      </c>
      <c r="H13">
        <v>440</v>
      </c>
      <c r="J13" t="s">
        <v>130</v>
      </c>
    </row>
    <row r="14" spans="1:10" ht="12.75">
      <c r="A14" t="s">
        <v>57</v>
      </c>
      <c r="B14">
        <v>250</v>
      </c>
      <c r="C14">
        <v>275</v>
      </c>
      <c r="D14">
        <v>300</v>
      </c>
      <c r="E14">
        <v>325</v>
      </c>
      <c r="F14">
        <v>350</v>
      </c>
      <c r="G14">
        <v>385</v>
      </c>
      <c r="H14">
        <v>540</v>
      </c>
      <c r="J14" t="s">
        <v>130</v>
      </c>
    </row>
    <row r="15" spans="1:10" ht="12.75">
      <c r="A15" t="s">
        <v>58</v>
      </c>
      <c r="B15">
        <v>300</v>
      </c>
      <c r="C15">
        <v>350</v>
      </c>
      <c r="D15">
        <v>375</v>
      </c>
      <c r="E15">
        <v>425</v>
      </c>
      <c r="F15">
        <v>445</v>
      </c>
      <c r="G15">
        <v>460</v>
      </c>
      <c r="H15">
        <v>665</v>
      </c>
      <c r="J15" t="s">
        <v>130</v>
      </c>
    </row>
    <row r="16" spans="1:10" ht="12.75">
      <c r="A16" t="s">
        <v>59</v>
      </c>
      <c r="B16">
        <v>375</v>
      </c>
      <c r="C16">
        <v>400</v>
      </c>
      <c r="D16">
        <v>425</v>
      </c>
      <c r="E16">
        <v>500</v>
      </c>
      <c r="F16">
        <v>550</v>
      </c>
      <c r="G16">
        <v>610</v>
      </c>
      <c r="H16">
        <v>765</v>
      </c>
      <c r="J16" t="s">
        <v>131</v>
      </c>
    </row>
    <row r="17" spans="1:10" ht="12.75">
      <c r="A17" t="s">
        <v>60</v>
      </c>
      <c r="B17">
        <v>450</v>
      </c>
      <c r="C17">
        <v>500</v>
      </c>
      <c r="D17">
        <v>550</v>
      </c>
      <c r="E17">
        <v>625</v>
      </c>
      <c r="F17">
        <v>670</v>
      </c>
      <c r="G17">
        <v>710</v>
      </c>
      <c r="H17">
        <v>890</v>
      </c>
      <c r="J17" t="s">
        <v>132</v>
      </c>
    </row>
    <row r="18" spans="1:10" ht="12.75">
      <c r="A18" t="s">
        <v>61</v>
      </c>
      <c r="B18">
        <v>500</v>
      </c>
      <c r="C18">
        <v>550</v>
      </c>
      <c r="D18">
        <v>650</v>
      </c>
      <c r="E18">
        <v>750</v>
      </c>
      <c r="F18">
        <v>875</v>
      </c>
      <c r="G18">
        <v>975</v>
      </c>
      <c r="H18">
        <v>1075</v>
      </c>
      <c r="J18" t="s">
        <v>133</v>
      </c>
    </row>
    <row r="19" spans="1:10" ht="12.75">
      <c r="A19" s="10" t="s">
        <v>62</v>
      </c>
      <c r="B19" s="10">
        <v>600</v>
      </c>
      <c r="C19" s="10">
        <v>650</v>
      </c>
      <c r="D19" s="10">
        <v>800</v>
      </c>
      <c r="E19" s="10">
        <v>900</v>
      </c>
      <c r="F19" s="10">
        <v>1025</v>
      </c>
      <c r="G19" s="10">
        <v>1150</v>
      </c>
      <c r="H19" s="10">
        <v>1300</v>
      </c>
      <c r="J19" t="s">
        <v>134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"/>
    </sheetView>
  </sheetViews>
  <sheetFormatPr defaultColWidth="9.140625" defaultRowHeight="12.75"/>
  <cols>
    <col min="3" max="3" width="15.140625" style="0" customWidth="1"/>
  </cols>
  <sheetData>
    <row r="1" spans="1:13" ht="13.5" thickBot="1">
      <c r="A1" s="36" t="s">
        <v>123</v>
      </c>
      <c r="B1" s="36"/>
      <c r="C1" s="117" t="s">
        <v>119</v>
      </c>
      <c r="D1" s="117"/>
      <c r="E1" s="36"/>
      <c r="F1" s="36"/>
      <c r="G1" s="36"/>
      <c r="H1" s="36"/>
      <c r="I1" s="117"/>
      <c r="J1" s="117"/>
      <c r="K1" s="117"/>
      <c r="L1" s="117"/>
      <c r="M1" s="117"/>
    </row>
    <row r="2" spans="1:18" ht="13.5" thickBot="1">
      <c r="A2" s="118"/>
      <c r="B2" s="119"/>
      <c r="C2" s="120" t="s">
        <v>120</v>
      </c>
      <c r="D2" s="121">
        <v>1999</v>
      </c>
      <c r="E2" s="122"/>
      <c r="F2" s="122"/>
      <c r="G2" s="122"/>
      <c r="H2" s="123"/>
      <c r="I2" s="124" t="s">
        <v>121</v>
      </c>
      <c r="J2" s="124"/>
      <c r="K2" s="124"/>
      <c r="L2" s="124"/>
      <c r="M2" s="124"/>
      <c r="N2" s="125" t="s">
        <v>122</v>
      </c>
      <c r="O2" s="126"/>
      <c r="P2" s="126"/>
      <c r="Q2" s="126"/>
      <c r="R2" s="127"/>
    </row>
    <row r="3" spans="1:15" ht="12.75">
      <c r="A3" s="35"/>
      <c r="B3" s="36"/>
      <c r="C3" s="37"/>
      <c r="D3" s="38" t="s">
        <v>85</v>
      </c>
      <c r="E3" s="39" t="s">
        <v>86</v>
      </c>
      <c r="F3" s="39" t="s">
        <v>87</v>
      </c>
      <c r="G3" s="39" t="s">
        <v>88</v>
      </c>
      <c r="H3" s="40" t="s">
        <v>89</v>
      </c>
      <c r="I3" s="41" t="s">
        <v>90</v>
      </c>
      <c r="J3" s="42" t="s">
        <v>86</v>
      </c>
      <c r="K3" s="42" t="s">
        <v>87</v>
      </c>
      <c r="L3" s="42" t="s">
        <v>88</v>
      </c>
      <c r="M3" s="43" t="s">
        <v>89</v>
      </c>
      <c r="N3" s="41" t="s">
        <v>85</v>
      </c>
      <c r="O3" s="44" t="s">
        <v>91</v>
      </c>
    </row>
    <row r="4" spans="1:15" ht="12.75">
      <c r="A4" s="45" t="s">
        <v>92</v>
      </c>
      <c r="B4" s="46"/>
      <c r="C4" s="47"/>
      <c r="D4" s="48"/>
      <c r="E4" s="49"/>
      <c r="F4" s="49"/>
      <c r="G4" s="49"/>
      <c r="H4" s="50"/>
      <c r="I4" s="51"/>
      <c r="J4" s="52"/>
      <c r="K4" s="52"/>
      <c r="L4" s="52"/>
      <c r="M4" s="53"/>
      <c r="N4" s="51"/>
      <c r="O4" s="54"/>
    </row>
    <row r="5" spans="1:15" ht="12.75">
      <c r="A5" s="45"/>
      <c r="B5" s="46"/>
      <c r="C5" s="47" t="s">
        <v>93</v>
      </c>
      <c r="D5" s="55">
        <v>529</v>
      </c>
      <c r="E5" s="56">
        <v>624</v>
      </c>
      <c r="F5" s="56">
        <v>506</v>
      </c>
      <c r="G5" s="56">
        <v>800</v>
      </c>
      <c r="H5" s="57">
        <f>SUM(D5:G5)</f>
        <v>2459</v>
      </c>
      <c r="I5" s="51">
        <v>608</v>
      </c>
      <c r="J5" s="52">
        <v>708</v>
      </c>
      <c r="K5" s="52">
        <v>639</v>
      </c>
      <c r="L5" s="58">
        <v>1136</v>
      </c>
      <c r="M5" s="59">
        <f>I5+J5+K5+L5</f>
        <v>3091</v>
      </c>
      <c r="N5" s="51">
        <v>796</v>
      </c>
      <c r="O5" s="60">
        <f>IF(N5&lt;&gt;0,N5/I5-1,0)</f>
        <v>0.3092105263157894</v>
      </c>
    </row>
    <row r="6" spans="1:15" ht="12.75">
      <c r="A6" s="45"/>
      <c r="B6" s="46"/>
      <c r="C6" s="47" t="s">
        <v>94</v>
      </c>
      <c r="D6" s="55">
        <v>448</v>
      </c>
      <c r="E6" s="56">
        <v>521</v>
      </c>
      <c r="F6" s="56">
        <v>492</v>
      </c>
      <c r="G6" s="56">
        <v>684</v>
      </c>
      <c r="H6" s="57">
        <f>SUM(D6:G6)</f>
        <v>2145</v>
      </c>
      <c r="I6" s="51">
        <v>436</v>
      </c>
      <c r="J6" s="52">
        <v>598</v>
      </c>
      <c r="K6" s="52">
        <v>574</v>
      </c>
      <c r="L6" s="52">
        <v>797</v>
      </c>
      <c r="M6" s="59">
        <f>I6+J6+K6+L6</f>
        <v>2405</v>
      </c>
      <c r="N6" s="51">
        <v>550</v>
      </c>
      <c r="O6" s="60">
        <f>IF(N6&lt;&gt;0,N6/I6-1,0)</f>
        <v>0.261467889908257</v>
      </c>
    </row>
    <row r="7" spans="1:15" ht="12.75">
      <c r="A7" s="45"/>
      <c r="B7" s="46"/>
      <c r="C7" s="47" t="s">
        <v>95</v>
      </c>
      <c r="D7" s="55">
        <v>99</v>
      </c>
      <c r="E7" s="56">
        <v>115</v>
      </c>
      <c r="F7" s="56">
        <v>125</v>
      </c>
      <c r="G7" s="56">
        <v>167</v>
      </c>
      <c r="H7" s="57">
        <f>SUM(D7:G7)</f>
        <v>506</v>
      </c>
      <c r="I7" s="51">
        <v>139</v>
      </c>
      <c r="J7" s="52">
        <v>192</v>
      </c>
      <c r="K7" s="52">
        <v>208</v>
      </c>
      <c r="L7" s="52">
        <v>230</v>
      </c>
      <c r="M7" s="61">
        <f>I7+J7+K7+L7</f>
        <v>769</v>
      </c>
      <c r="N7" s="51">
        <v>178</v>
      </c>
      <c r="O7" s="60">
        <f>IF(N7&lt;&gt;0,N7/I7-1,0)</f>
        <v>0.28057553956834536</v>
      </c>
    </row>
    <row r="8" spans="1:15" ht="12.75">
      <c r="A8" s="45"/>
      <c r="B8" s="46"/>
      <c r="C8" s="47"/>
      <c r="D8" s="48"/>
      <c r="E8" s="49"/>
      <c r="F8" s="49"/>
      <c r="G8" s="49"/>
      <c r="H8" s="50"/>
      <c r="I8" s="51"/>
      <c r="J8" s="52"/>
      <c r="K8" s="52"/>
      <c r="L8" s="52"/>
      <c r="M8" s="53"/>
      <c r="N8" s="51"/>
      <c r="O8" s="60"/>
    </row>
    <row r="9" spans="1:15" ht="12.75">
      <c r="A9" s="62"/>
      <c r="B9" s="63"/>
      <c r="C9" s="64" t="s">
        <v>96</v>
      </c>
      <c r="D9" s="65">
        <v>355</v>
      </c>
      <c r="E9" s="66">
        <v>452</v>
      </c>
      <c r="F9" s="66">
        <v>314</v>
      </c>
      <c r="G9" s="66">
        <v>811</v>
      </c>
      <c r="H9" s="67">
        <f>SUM(C9:G9)</f>
        <v>1932</v>
      </c>
      <c r="I9" s="68">
        <v>369</v>
      </c>
      <c r="J9" s="69">
        <v>554</v>
      </c>
      <c r="K9" s="69">
        <v>480</v>
      </c>
      <c r="L9" s="70">
        <v>1056</v>
      </c>
      <c r="M9" s="70">
        <f>I9+J9+K9+L9</f>
        <v>2459</v>
      </c>
      <c r="N9" s="68">
        <v>458</v>
      </c>
      <c r="O9" s="71">
        <f aca="true" t="shared" si="0" ref="O9:O16">IF(N9&lt;&gt;0,N9/I9-1,0)</f>
        <v>0.24119241192411933</v>
      </c>
    </row>
    <row r="10" spans="1:15" ht="12.75">
      <c r="A10" s="62"/>
      <c r="B10" s="63"/>
      <c r="C10" s="72" t="s">
        <v>97</v>
      </c>
      <c r="D10" s="55">
        <v>260</v>
      </c>
      <c r="E10" s="56">
        <v>284</v>
      </c>
      <c r="F10" s="56">
        <v>297</v>
      </c>
      <c r="G10" s="56">
        <v>321</v>
      </c>
      <c r="H10" s="57">
        <f aca="true" t="shared" si="1" ref="H10:H15">SUM(D10:G10)</f>
        <v>1162</v>
      </c>
      <c r="I10" s="51">
        <v>373</v>
      </c>
      <c r="J10" s="52">
        <v>396</v>
      </c>
      <c r="K10" s="52">
        <v>433</v>
      </c>
      <c r="L10" s="52">
        <v>468</v>
      </c>
      <c r="M10" s="59">
        <f>I10+J10+K10+L10</f>
        <v>1670</v>
      </c>
      <c r="N10" s="51">
        <v>485</v>
      </c>
      <c r="O10" s="60">
        <f t="shared" si="0"/>
        <v>0.3002680965147453</v>
      </c>
    </row>
    <row r="11" spans="1:15" ht="12.75">
      <c r="A11" s="62"/>
      <c r="B11" s="63" t="s">
        <v>98</v>
      </c>
      <c r="C11" s="72"/>
      <c r="D11" s="51">
        <f>D9+D10</f>
        <v>615</v>
      </c>
      <c r="E11" s="56">
        <f>E9+E10</f>
        <v>736</v>
      </c>
      <c r="F11" s="54">
        <f>F9+F10</f>
        <v>611</v>
      </c>
      <c r="G11" s="54">
        <f>G9+G10</f>
        <v>1132</v>
      </c>
      <c r="H11" s="57">
        <f t="shared" si="1"/>
        <v>3094</v>
      </c>
      <c r="I11" s="51">
        <f aca="true" t="shared" si="2" ref="I11:N11">I9+I10</f>
        <v>742</v>
      </c>
      <c r="J11" s="52">
        <f t="shared" si="2"/>
        <v>950</v>
      </c>
      <c r="K11" s="52">
        <f t="shared" si="2"/>
        <v>913</v>
      </c>
      <c r="L11" s="58">
        <f t="shared" si="2"/>
        <v>1524</v>
      </c>
      <c r="M11" s="59">
        <f t="shared" si="2"/>
        <v>4129</v>
      </c>
      <c r="N11" s="51">
        <f t="shared" si="2"/>
        <v>943</v>
      </c>
      <c r="O11" s="60">
        <f t="shared" si="0"/>
        <v>0.27088948787061984</v>
      </c>
    </row>
    <row r="12" spans="1:15" ht="12.75">
      <c r="A12" s="62"/>
      <c r="B12" s="63"/>
      <c r="C12" s="72" t="s">
        <v>99</v>
      </c>
      <c r="D12" s="51">
        <v>343</v>
      </c>
      <c r="E12" s="56">
        <v>398</v>
      </c>
      <c r="F12" s="56">
        <v>398</v>
      </c>
      <c r="G12" s="54">
        <v>408</v>
      </c>
      <c r="H12" s="57">
        <f t="shared" si="1"/>
        <v>1547</v>
      </c>
      <c r="I12" s="51">
        <v>332</v>
      </c>
      <c r="J12" s="52">
        <v>393</v>
      </c>
      <c r="K12" s="52">
        <v>404</v>
      </c>
      <c r="L12" s="52">
        <v>516</v>
      </c>
      <c r="M12" s="59">
        <f>I12+J12+K12+L12</f>
        <v>1645</v>
      </c>
      <c r="N12" s="51">
        <v>458</v>
      </c>
      <c r="O12" s="60">
        <f t="shared" si="0"/>
        <v>0.3795180722891567</v>
      </c>
    </row>
    <row r="13" spans="1:15" ht="12.75">
      <c r="A13" s="62"/>
      <c r="B13" s="63"/>
      <c r="C13" s="72" t="s">
        <v>100</v>
      </c>
      <c r="D13" s="51">
        <v>110</v>
      </c>
      <c r="E13" s="56">
        <v>106</v>
      </c>
      <c r="F13" s="56">
        <v>90</v>
      </c>
      <c r="G13" s="54">
        <v>89</v>
      </c>
      <c r="H13" s="57">
        <f t="shared" si="1"/>
        <v>395</v>
      </c>
      <c r="I13" s="51">
        <v>95</v>
      </c>
      <c r="J13" s="52">
        <v>100</v>
      </c>
      <c r="K13" s="52">
        <v>95</v>
      </c>
      <c r="L13" s="52">
        <v>111</v>
      </c>
      <c r="M13" s="53">
        <f>I13+J13+K13+L13</f>
        <v>401</v>
      </c>
      <c r="N13" s="51">
        <v>109</v>
      </c>
      <c r="O13" s="60">
        <f t="shared" si="0"/>
        <v>0.1473684210526316</v>
      </c>
    </row>
    <row r="14" spans="1:15" ht="12.75">
      <c r="A14" s="62"/>
      <c r="B14" s="63" t="s">
        <v>101</v>
      </c>
      <c r="C14" s="72"/>
      <c r="D14" s="51">
        <f>D12+D13</f>
        <v>453</v>
      </c>
      <c r="E14" s="56">
        <f>E12+E13</f>
        <v>504</v>
      </c>
      <c r="F14" s="54">
        <f>F12+F13</f>
        <v>488</v>
      </c>
      <c r="G14" s="54">
        <f>G12+G13</f>
        <v>497</v>
      </c>
      <c r="H14" s="57">
        <f t="shared" si="1"/>
        <v>1942</v>
      </c>
      <c r="I14" s="51">
        <f>SUM(I12:I13)</f>
        <v>427</v>
      </c>
      <c r="J14" s="52">
        <f>SUM(J12:J13)</f>
        <v>493</v>
      </c>
      <c r="K14" s="52">
        <f>SUM(K12:K13)</f>
        <v>499</v>
      </c>
      <c r="L14" s="52">
        <f>SUM(L12:L13)</f>
        <v>627</v>
      </c>
      <c r="M14" s="59">
        <f>M12+M13</f>
        <v>2046</v>
      </c>
      <c r="N14" s="51">
        <f>N12+N13</f>
        <v>567</v>
      </c>
      <c r="O14" s="60">
        <f t="shared" si="0"/>
        <v>0.3278688524590163</v>
      </c>
    </row>
    <row r="15" spans="1:15" ht="12.75">
      <c r="A15" s="62"/>
      <c r="B15" s="63" t="s">
        <v>102</v>
      </c>
      <c r="C15" s="72"/>
      <c r="D15" s="51">
        <v>8</v>
      </c>
      <c r="E15" s="56">
        <v>20</v>
      </c>
      <c r="F15" s="56">
        <v>24</v>
      </c>
      <c r="G15" s="54">
        <v>22</v>
      </c>
      <c r="H15" s="57">
        <f t="shared" si="1"/>
        <v>74</v>
      </c>
      <c r="I15" s="51">
        <v>14</v>
      </c>
      <c r="J15" s="52">
        <v>55</v>
      </c>
      <c r="K15" s="52">
        <v>9</v>
      </c>
      <c r="L15" s="52">
        <v>12</v>
      </c>
      <c r="M15" s="53">
        <f>I15+J15+K15+L15</f>
        <v>90</v>
      </c>
      <c r="N15" s="51">
        <v>14</v>
      </c>
      <c r="O15" s="60">
        <f t="shared" si="0"/>
        <v>0</v>
      </c>
    </row>
    <row r="16" spans="1:15" ht="12.75">
      <c r="A16" s="73" t="s">
        <v>103</v>
      </c>
      <c r="B16" s="74"/>
      <c r="C16" s="75"/>
      <c r="D16" s="76">
        <f aca="true" t="shared" si="3" ref="D16:I16">+D11+D14+D15</f>
        <v>1076</v>
      </c>
      <c r="E16" s="77">
        <f t="shared" si="3"/>
        <v>1260</v>
      </c>
      <c r="F16" s="77">
        <f t="shared" si="3"/>
        <v>1123</v>
      </c>
      <c r="G16" s="78">
        <f t="shared" si="3"/>
        <v>1651</v>
      </c>
      <c r="H16" s="79">
        <f>SUM(D16:G16)</f>
        <v>5110</v>
      </c>
      <c r="I16" s="80">
        <f t="shared" si="3"/>
        <v>1183</v>
      </c>
      <c r="J16" s="81">
        <f>+J11+J14+J15</f>
        <v>1498</v>
      </c>
      <c r="K16" s="81">
        <f>K11+K14+K15</f>
        <v>1421</v>
      </c>
      <c r="L16" s="81">
        <f>L11+L14+L15</f>
        <v>2163</v>
      </c>
      <c r="M16" s="81">
        <f>M11+M14+M15</f>
        <v>6265</v>
      </c>
      <c r="N16" s="82">
        <f>N11+N14+N15</f>
        <v>1524</v>
      </c>
      <c r="O16" s="71">
        <f t="shared" si="0"/>
        <v>0.28825021132713435</v>
      </c>
    </row>
    <row r="17" spans="1:15" ht="12.75">
      <c r="A17" s="62"/>
      <c r="B17" s="63"/>
      <c r="C17" s="72"/>
      <c r="D17" s="51"/>
      <c r="E17" s="56"/>
      <c r="F17" s="56"/>
      <c r="G17" s="54"/>
      <c r="H17" s="57"/>
      <c r="I17" s="51"/>
      <c r="J17" s="52"/>
      <c r="K17" s="52"/>
      <c r="L17" s="52"/>
      <c r="M17" s="53"/>
      <c r="N17" s="51"/>
      <c r="O17" s="60"/>
    </row>
    <row r="18" spans="1:15" ht="12.75">
      <c r="A18" s="62"/>
      <c r="B18" s="63" t="s">
        <v>104</v>
      </c>
      <c r="C18" s="72"/>
      <c r="D18" s="51">
        <v>-97</v>
      </c>
      <c r="E18" s="56">
        <v>-106</v>
      </c>
      <c r="F18" s="56">
        <v>-101</v>
      </c>
      <c r="G18" s="54">
        <v>-207</v>
      </c>
      <c r="H18" s="57">
        <f aca="true" t="shared" si="4" ref="H18:H23">SUM(D18:G18)</f>
        <v>-511</v>
      </c>
      <c r="I18" s="51">
        <v>-153</v>
      </c>
      <c r="J18" s="52">
        <v>-160</v>
      </c>
      <c r="K18" s="52">
        <v>-174</v>
      </c>
      <c r="L18" s="52">
        <v>-235</v>
      </c>
      <c r="M18" s="53">
        <f aca="true" t="shared" si="5" ref="M18:M24">I18+J18+K18+L18</f>
        <v>-722</v>
      </c>
      <c r="N18" s="51">
        <v>-197</v>
      </c>
      <c r="O18" s="60">
        <f aca="true" t="shared" si="6" ref="O18:O24">IF(N18&lt;&gt;0,N18/I18-1,0)</f>
        <v>0.2875816993464053</v>
      </c>
    </row>
    <row r="19" spans="1:15" ht="12.75">
      <c r="A19" s="62"/>
      <c r="B19" s="63" t="s">
        <v>105</v>
      </c>
      <c r="C19" s="72"/>
      <c r="D19" s="51">
        <v>-394</v>
      </c>
      <c r="E19" s="56">
        <v>-414</v>
      </c>
      <c r="F19" s="56">
        <v>-394</v>
      </c>
      <c r="G19" s="54">
        <v>-383</v>
      </c>
      <c r="H19" s="57">
        <f t="shared" si="4"/>
        <v>-1585</v>
      </c>
      <c r="I19" s="51">
        <v>-428</v>
      </c>
      <c r="J19" s="52">
        <v>-422</v>
      </c>
      <c r="K19" s="52">
        <v>-429</v>
      </c>
      <c r="L19" s="52">
        <v>-471</v>
      </c>
      <c r="M19" s="83">
        <f t="shared" si="5"/>
        <v>-1750</v>
      </c>
      <c r="N19" s="51">
        <v>-456</v>
      </c>
      <c r="O19" s="60">
        <f t="shared" si="6"/>
        <v>0.06542056074766345</v>
      </c>
    </row>
    <row r="20" spans="1:15" ht="12.75">
      <c r="A20" s="62"/>
      <c r="B20" s="63" t="s">
        <v>106</v>
      </c>
      <c r="C20" s="72"/>
      <c r="D20" s="51">
        <v>-140</v>
      </c>
      <c r="E20" s="56">
        <v>-166</v>
      </c>
      <c r="F20" s="56">
        <v>-165</v>
      </c>
      <c r="G20" s="54">
        <v>-234</v>
      </c>
      <c r="H20" s="57">
        <f t="shared" si="4"/>
        <v>-705</v>
      </c>
      <c r="I20" s="51">
        <v>-255</v>
      </c>
      <c r="J20" s="52">
        <v>-231</v>
      </c>
      <c r="K20" s="52">
        <v>-223</v>
      </c>
      <c r="L20" s="52">
        <v>-260</v>
      </c>
      <c r="M20" s="53">
        <f t="shared" si="5"/>
        <v>-969</v>
      </c>
      <c r="N20" s="51">
        <v>-206</v>
      </c>
      <c r="O20" s="60">
        <f t="shared" si="6"/>
        <v>-0.19215686274509802</v>
      </c>
    </row>
    <row r="21" spans="1:15" ht="12.75">
      <c r="A21" s="62"/>
      <c r="B21" s="63" t="s">
        <v>107</v>
      </c>
      <c r="C21" s="72"/>
      <c r="D21" s="51">
        <v>-228</v>
      </c>
      <c r="E21" s="56">
        <v>-276</v>
      </c>
      <c r="F21" s="56">
        <v>-283</v>
      </c>
      <c r="G21" s="54">
        <v>-320</v>
      </c>
      <c r="H21" s="57">
        <f t="shared" si="4"/>
        <v>-1107</v>
      </c>
      <c r="I21" s="51">
        <v>-336</v>
      </c>
      <c r="J21" s="52">
        <v>-434</v>
      </c>
      <c r="K21" s="52">
        <v>-347</v>
      </c>
      <c r="L21" s="52">
        <v>-460</v>
      </c>
      <c r="M21" s="83">
        <f t="shared" si="5"/>
        <v>-1577</v>
      </c>
      <c r="N21" s="51">
        <v>-365</v>
      </c>
      <c r="O21" s="60">
        <f t="shared" si="6"/>
        <v>0.08630952380952372</v>
      </c>
    </row>
    <row r="22" spans="1:15" ht="12.75">
      <c r="A22" s="62"/>
      <c r="B22" s="63" t="s">
        <v>108</v>
      </c>
      <c r="C22" s="72"/>
      <c r="D22" s="51">
        <v>-47</v>
      </c>
      <c r="E22" s="56">
        <v>-57</v>
      </c>
      <c r="F22" s="56">
        <v>-63</v>
      </c>
      <c r="G22" s="54">
        <v>-74</v>
      </c>
      <c r="H22" s="57">
        <f t="shared" si="4"/>
        <v>-241</v>
      </c>
      <c r="I22" s="51">
        <v>-115</v>
      </c>
      <c r="J22" s="52">
        <v>-102</v>
      </c>
      <c r="K22" s="52">
        <v>-93</v>
      </c>
      <c r="L22" s="52">
        <v>-108</v>
      </c>
      <c r="M22" s="53">
        <f t="shared" si="5"/>
        <v>-418</v>
      </c>
      <c r="N22" s="51">
        <v>-86</v>
      </c>
      <c r="O22" s="60">
        <f t="shared" si="6"/>
        <v>-0.25217391304347825</v>
      </c>
    </row>
    <row r="23" spans="1:15" ht="12.75">
      <c r="A23" s="62"/>
      <c r="B23" s="63" t="s">
        <v>109</v>
      </c>
      <c r="C23" s="72"/>
      <c r="D23" s="51">
        <v>-12</v>
      </c>
      <c r="E23" s="56">
        <v>-6</v>
      </c>
      <c r="F23" s="56">
        <v>-10</v>
      </c>
      <c r="G23" s="54">
        <v>3</v>
      </c>
      <c r="H23" s="57">
        <f t="shared" si="4"/>
        <v>-25</v>
      </c>
      <c r="I23" s="51">
        <v>-7</v>
      </c>
      <c r="J23" s="52">
        <v>2</v>
      </c>
      <c r="K23" s="52">
        <v>-7</v>
      </c>
      <c r="L23" s="52">
        <v>-14</v>
      </c>
      <c r="M23" s="53">
        <f t="shared" si="5"/>
        <v>-26</v>
      </c>
      <c r="N23" s="51">
        <v>-8</v>
      </c>
      <c r="O23" s="60">
        <f t="shared" si="6"/>
        <v>0.1428571428571428</v>
      </c>
    </row>
    <row r="24" spans="1:15" ht="12.75">
      <c r="A24" s="73" t="s">
        <v>110</v>
      </c>
      <c r="B24" s="74"/>
      <c r="C24" s="75"/>
      <c r="D24" s="76">
        <f aca="true" t="shared" si="7" ref="D24:I24">SUM(D18:D23)</f>
        <v>-918</v>
      </c>
      <c r="E24" s="77">
        <f t="shared" si="7"/>
        <v>-1025</v>
      </c>
      <c r="F24" s="77">
        <f t="shared" si="7"/>
        <v>-1016</v>
      </c>
      <c r="G24" s="78">
        <f t="shared" si="7"/>
        <v>-1215</v>
      </c>
      <c r="H24" s="79">
        <f t="shared" si="7"/>
        <v>-4174</v>
      </c>
      <c r="I24" s="82">
        <f t="shared" si="7"/>
        <v>-1294</v>
      </c>
      <c r="J24" s="84">
        <f>SUM(J18:J23)</f>
        <v>-1347</v>
      </c>
      <c r="K24" s="84">
        <f>SUM(K18:K23)</f>
        <v>-1273</v>
      </c>
      <c r="L24" s="84">
        <f>SUM(L18:L23)</f>
        <v>-1548</v>
      </c>
      <c r="M24" s="84">
        <f t="shared" si="5"/>
        <v>-5462</v>
      </c>
      <c r="N24" s="82">
        <f>SUM(N18:N23)</f>
        <v>-1318</v>
      </c>
      <c r="O24" s="71">
        <f t="shared" si="6"/>
        <v>0.018547140649149974</v>
      </c>
    </row>
    <row r="25" spans="1:15" ht="12.75">
      <c r="A25" s="85"/>
      <c r="B25" s="86"/>
      <c r="C25" s="87"/>
      <c r="D25" s="88"/>
      <c r="E25" s="89"/>
      <c r="F25" s="89"/>
      <c r="G25" s="90"/>
      <c r="H25" s="91"/>
      <c r="I25" s="88"/>
      <c r="J25" s="92"/>
      <c r="K25" s="92"/>
      <c r="L25" s="92"/>
      <c r="M25" s="53"/>
      <c r="N25" s="88"/>
      <c r="O25" s="60"/>
    </row>
    <row r="26" spans="1:15" ht="12.75">
      <c r="A26" s="85"/>
      <c r="B26" s="86"/>
      <c r="C26" s="87"/>
      <c r="D26" s="88"/>
      <c r="E26" s="89"/>
      <c r="F26" s="90"/>
      <c r="G26" s="90"/>
      <c r="H26" s="91"/>
      <c r="I26" s="88"/>
      <c r="J26" s="92"/>
      <c r="K26" s="92"/>
      <c r="L26" s="92"/>
      <c r="M26" s="53"/>
      <c r="N26" s="88"/>
      <c r="O26" s="60"/>
    </row>
    <row r="27" spans="1:15" ht="12.75">
      <c r="A27" s="73" t="s">
        <v>111</v>
      </c>
      <c r="B27" s="74"/>
      <c r="C27" s="75"/>
      <c r="D27" s="76">
        <f>(D16+D24)</f>
        <v>158</v>
      </c>
      <c r="E27" s="77">
        <f>(E16+E24)</f>
        <v>235</v>
      </c>
      <c r="F27" s="78">
        <f>(F16+F24)</f>
        <v>107</v>
      </c>
      <c r="G27" s="78">
        <f>(G16+G24)</f>
        <v>436</v>
      </c>
      <c r="H27" s="79">
        <f>SUM(D27:G27)</f>
        <v>936</v>
      </c>
      <c r="I27" s="76">
        <f>I16+I24</f>
        <v>-111</v>
      </c>
      <c r="J27" s="93">
        <f>J16+J24</f>
        <v>151</v>
      </c>
      <c r="K27" s="93">
        <f>K16+K24</f>
        <v>148</v>
      </c>
      <c r="L27" s="93">
        <f>L16+L24</f>
        <v>615</v>
      </c>
      <c r="M27" s="93">
        <f>L27+K27+J27+I27</f>
        <v>803</v>
      </c>
      <c r="N27" s="76">
        <f>N16+N24</f>
        <v>206</v>
      </c>
      <c r="O27" s="71">
        <f>IF(N27&lt;&gt;0,N27/I27-1,0)</f>
        <v>-2.8558558558558556</v>
      </c>
    </row>
    <row r="28" spans="1:15" ht="12.75">
      <c r="A28" s="94" t="s">
        <v>112</v>
      </c>
      <c r="B28" s="95"/>
      <c r="C28" s="96"/>
      <c r="D28" s="97">
        <f aca="true" t="shared" si="8" ref="D28:I28">D27/D16</f>
        <v>0.14684014869888476</v>
      </c>
      <c r="E28" s="98">
        <f t="shared" si="8"/>
        <v>0.1865079365079365</v>
      </c>
      <c r="F28" s="98">
        <f t="shared" si="8"/>
        <v>0.09528049866429207</v>
      </c>
      <c r="G28" s="99">
        <f t="shared" si="8"/>
        <v>0.26408237431859477</v>
      </c>
      <c r="H28" s="100">
        <f t="shared" si="8"/>
        <v>0.18317025440313112</v>
      </c>
      <c r="I28" s="97">
        <f t="shared" si="8"/>
        <v>-0.09382924767540152</v>
      </c>
      <c r="J28" s="101">
        <f>J27/J16</f>
        <v>0.10080106809078772</v>
      </c>
      <c r="K28" s="101">
        <f>K27/K16</f>
        <v>0.10415200562983815</v>
      </c>
      <c r="L28" s="101">
        <f>L27/L16</f>
        <v>0.2843273231622746</v>
      </c>
      <c r="M28" s="101">
        <f>M27/M16</f>
        <v>0.12817238627294494</v>
      </c>
      <c r="N28" s="97">
        <f>IF(N27&lt;&gt;0,N27/N16,0)</f>
        <v>0.13517060367454067</v>
      </c>
      <c r="O28" s="99"/>
    </row>
    <row r="29" spans="1:15" ht="12.75">
      <c r="A29" s="62" t="s">
        <v>113</v>
      </c>
      <c r="B29" s="63"/>
      <c r="C29" s="72"/>
      <c r="D29" s="51">
        <v>-6</v>
      </c>
      <c r="E29" s="56">
        <v>-7</v>
      </c>
      <c r="F29" s="56">
        <v>-6</v>
      </c>
      <c r="G29" s="54">
        <v>-32</v>
      </c>
      <c r="H29" s="57">
        <f>SUM(D29:G29)</f>
        <v>-51</v>
      </c>
      <c r="I29" s="51">
        <v>-32</v>
      </c>
      <c r="J29" s="52">
        <v>-11</v>
      </c>
      <c r="K29" s="52">
        <v>5</v>
      </c>
      <c r="L29" s="52">
        <v>-18</v>
      </c>
      <c r="M29" s="53">
        <v>-56</v>
      </c>
      <c r="N29" s="51">
        <v>5</v>
      </c>
      <c r="O29" s="60">
        <f>IF(N29&lt;&gt;0,N29/I29-1,0)</f>
        <v>-1.15625</v>
      </c>
    </row>
    <row r="30" spans="1:15" ht="12.75">
      <c r="A30" s="62" t="s">
        <v>114</v>
      </c>
      <c r="B30" s="63"/>
      <c r="C30" s="72"/>
      <c r="D30" s="51">
        <v>4</v>
      </c>
      <c r="E30" s="56">
        <v>32</v>
      </c>
      <c r="F30" s="56">
        <v>3</v>
      </c>
      <c r="G30" s="54">
        <v>196</v>
      </c>
      <c r="H30" s="57">
        <f>SUM(D30:G30)</f>
        <v>235</v>
      </c>
      <c r="I30" s="51">
        <v>238</v>
      </c>
      <c r="J30" s="52">
        <v>53</v>
      </c>
      <c r="K30" s="52">
        <v>1</v>
      </c>
      <c r="L30" s="52">
        <v>-8</v>
      </c>
      <c r="M30" s="53">
        <v>284</v>
      </c>
      <c r="N30" s="51">
        <v>-17</v>
      </c>
      <c r="O30" s="60">
        <f>IF(N30&lt;&gt;0,N30/I30-1,0)</f>
        <v>-1.0714285714285714</v>
      </c>
    </row>
    <row r="31" spans="1:15" ht="12.75">
      <c r="A31" s="73" t="s">
        <v>115</v>
      </c>
      <c r="B31" s="74"/>
      <c r="C31" s="75"/>
      <c r="D31" s="76">
        <f>SUM(D28:D30)</f>
        <v>-1.8531598513011156</v>
      </c>
      <c r="E31" s="77">
        <f>SUM(E28:E30)</f>
        <v>25.186507936507937</v>
      </c>
      <c r="F31" s="77">
        <f>SUM(F28:F30)</f>
        <v>-2.904719501335708</v>
      </c>
      <c r="G31" s="78">
        <f>SUM(G28:G30)</f>
        <v>164.2640823743186</v>
      </c>
      <c r="H31" s="93">
        <f>SUM(D31:G31)</f>
        <v>184.6927109581897</v>
      </c>
      <c r="I31" s="93">
        <f>SUM(I27:I29:I30)</f>
        <v>94.90617075232461</v>
      </c>
      <c r="J31" s="93">
        <f>SUM(J27:J29:J30)</f>
        <v>193.1008010680908</v>
      </c>
      <c r="K31" s="93">
        <f>SUM(K27:K29:K30)</f>
        <v>154.10415200562983</v>
      </c>
      <c r="L31" s="93">
        <f>SUM(L27:L29:L30)</f>
        <v>589.2843273231623</v>
      </c>
      <c r="M31" s="81">
        <f>SUM(M27:M29:M30)</f>
        <v>1031.128172386273</v>
      </c>
      <c r="N31" s="76">
        <f>SUM(N27:N29:N30)</f>
        <v>194.13517060367454</v>
      </c>
      <c r="O31" s="71">
        <f>IF(N31&lt;&gt;0,N31/I31-1,0)</f>
        <v>1.0455484513257471</v>
      </c>
    </row>
    <row r="32" spans="1:15" ht="12.75">
      <c r="A32" s="62"/>
      <c r="B32" s="63"/>
      <c r="C32" s="72"/>
      <c r="D32" s="102"/>
      <c r="E32" s="103"/>
      <c r="F32" s="103"/>
      <c r="G32" s="104"/>
      <c r="H32" s="105"/>
      <c r="I32" s="102"/>
      <c r="J32" s="106"/>
      <c r="K32" s="106"/>
      <c r="L32" s="106"/>
      <c r="M32" s="53"/>
      <c r="N32" s="102"/>
      <c r="O32" s="60"/>
    </row>
    <row r="33" spans="1:15" ht="12.75">
      <c r="A33" s="62" t="s">
        <v>116</v>
      </c>
      <c r="B33" s="63"/>
      <c r="C33" s="72"/>
      <c r="D33" s="55">
        <v>-74</v>
      </c>
      <c r="E33" s="56">
        <v>-105</v>
      </c>
      <c r="F33" s="56">
        <v>-33</v>
      </c>
      <c r="G33" s="56">
        <v>-164</v>
      </c>
      <c r="H33" s="57">
        <f>SUM(D33:G33)</f>
        <v>-376</v>
      </c>
      <c r="I33" s="51">
        <v>-38</v>
      </c>
      <c r="J33" s="52">
        <v>-77</v>
      </c>
      <c r="K33" s="52">
        <v>-62</v>
      </c>
      <c r="L33" s="52">
        <v>-215</v>
      </c>
      <c r="M33" s="53">
        <v>-392</v>
      </c>
      <c r="N33" s="51">
        <v>-74</v>
      </c>
      <c r="O33" s="60">
        <f>IF(N33&lt;&gt;0,N33/I33-1,0)</f>
        <v>0.9473684210526316</v>
      </c>
    </row>
    <row r="34" spans="1:15" ht="12.75">
      <c r="A34" s="62" t="s">
        <v>117</v>
      </c>
      <c r="B34" s="63"/>
      <c r="C34" s="72"/>
      <c r="D34" s="55">
        <v>0</v>
      </c>
      <c r="E34" s="56">
        <v>-1</v>
      </c>
      <c r="F34" s="56">
        <v>-1</v>
      </c>
      <c r="G34" s="56">
        <v>-1</v>
      </c>
      <c r="H34" s="57">
        <f>SUM(D34:G34)</f>
        <v>-3</v>
      </c>
      <c r="I34" s="51">
        <v>-1</v>
      </c>
      <c r="J34" s="52">
        <v>0</v>
      </c>
      <c r="K34" s="52">
        <v>-4</v>
      </c>
      <c r="L34" s="52">
        <v>0</v>
      </c>
      <c r="M34" s="53">
        <v>-5</v>
      </c>
      <c r="N34" s="51">
        <v>-3</v>
      </c>
      <c r="O34" s="60">
        <f>IF(N34&lt;&gt;0,N34/I34-1,0)</f>
        <v>2</v>
      </c>
    </row>
    <row r="35" spans="1:15" ht="13.5" thickBot="1">
      <c r="A35" s="107" t="s">
        <v>118</v>
      </c>
      <c r="B35" s="108"/>
      <c r="C35" s="109"/>
      <c r="D35" s="110">
        <f aca="true" t="shared" si="9" ref="D35:I35">SUM(D31:D34)</f>
        <v>-75.85315985130111</v>
      </c>
      <c r="E35" s="111">
        <f t="shared" si="9"/>
        <v>-80.81349206349206</v>
      </c>
      <c r="F35" s="111">
        <f t="shared" si="9"/>
        <v>-36.904719501335705</v>
      </c>
      <c r="G35" s="111">
        <f t="shared" si="9"/>
        <v>-0.7359176256813953</v>
      </c>
      <c r="H35" s="112">
        <f>SUM(D35:G35)</f>
        <v>-194.3072890418103</v>
      </c>
      <c r="I35" s="113">
        <f t="shared" si="9"/>
        <v>55.90617075232461</v>
      </c>
      <c r="J35" s="114">
        <f>SUM(J31:J34)</f>
        <v>116.10080106809079</v>
      </c>
      <c r="K35" s="114">
        <f>SUM(K31:K34)</f>
        <v>88.10415200562983</v>
      </c>
      <c r="L35" s="114">
        <f>SUM(L31:L34)</f>
        <v>374.2843273231623</v>
      </c>
      <c r="M35" s="114">
        <f>SUM(M31:M34)</f>
        <v>634.128172386273</v>
      </c>
      <c r="N35" s="113">
        <f>SUM(N31:N34)</f>
        <v>117.13517060367454</v>
      </c>
      <c r="O35" s="115">
        <f>IF(N35&lt;&gt;0,N35/I35-1,0)</f>
        <v>1.0952100461790972</v>
      </c>
    </row>
    <row r="36" spans="1:15" ht="12.75">
      <c r="A36" s="116"/>
      <c r="B36" s="46"/>
      <c r="C36" s="46"/>
      <c r="D36" s="36"/>
      <c r="E36" s="36"/>
      <c r="F36" s="36"/>
      <c r="G36" s="36"/>
      <c r="H36" s="46"/>
      <c r="I36" s="36"/>
      <c r="J36" s="36"/>
      <c r="K36" s="36"/>
      <c r="L36" s="36"/>
      <c r="M36" s="46"/>
      <c r="N36" s="46"/>
      <c r="O36" s="46"/>
    </row>
  </sheetData>
  <mergeCells count="3">
    <mergeCell ref="D2:H2"/>
    <mergeCell ref="I2:M2"/>
    <mergeCell ref="N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Giddy</dc:creator>
  <cp:keywords/>
  <dc:description/>
  <cp:lastModifiedBy>Ian Giddy</cp:lastModifiedBy>
  <cp:lastPrinted>1998-11-04T19:16:59Z</cp:lastPrinted>
  <dcterms:created xsi:type="dcterms:W3CDTF">1998-10-24T10:57:52Z</dcterms:created>
  <dcterms:modified xsi:type="dcterms:W3CDTF">2001-09-19T19:17:00Z</dcterms:modified>
  <cp:category/>
  <cp:version/>
  <cp:contentType/>
  <cp:contentStatus/>
</cp:coreProperties>
</file>